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<sst xmlns="http://schemas.openxmlformats.org/spreadsheetml/2006/main" count="816" uniqueCount="226">
  <si>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</si>
  <si>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</si>
  <si>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</si>
  <si>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</si>
  <si>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</si>
  <si>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</si>
  <si>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</si>
  <si>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</si>
  <si>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</si>
  <si>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</si>
  <si>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</si>
  <si>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</si>
  <si>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</si>
  <si>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</si>
  <si>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</si>
  <si>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</si>
  <si>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</si>
  <si>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</si>
  <si>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</si>
  <si>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</si>
  <si>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</si>
  <si>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</si>
  <si>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</si>
  <si>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</si>
  <si>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</si>
  <si>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</si>
  <si>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</si>
  <si>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</si>
  <si>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</si>
  <si>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</si>
  <si>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</si>
  <si>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</si>
  <si>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</si>
  <si>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</si>
  <si>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</si>
  <si>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</si>
  <si>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</si>
  <si>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</si>
  <si>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</si>
  <si>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</si>
  <si>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</si>
  <si>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</si>
  <si>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</si>
  <si>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</si>
  <si>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</si>
  <si>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</si>
  <si>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</si>
  <si>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</si>
  <si>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</si>
  <si>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</si>
  <si>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</si>
  <si>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</si>
  <si>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</si>
  <si>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</si>
  <si>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</si>
  <si>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</si>
  <si>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</si>
  <si>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</si>
  <si>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</si>
  <si>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</si>
  <si>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</si>
  <si>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</si>
  <si>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</si>
  <si>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</si>
  <si>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</si>
  <si>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</si>
  <si>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</si>
  <si>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</si>
  <si>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</si>
  <si>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</si>
  <si>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</si>
  <si>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</si>
  <si>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</si>
  <si>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</si>
  <si>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</si>
  <si>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</si>
  <si>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</si>
  <si>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</si>
  <si>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</si>
  <si>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</si>
  <si>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</si>
  <si>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</si>
  <si>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</si>
  <si>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</si>
  <si>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</si>
  <si>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</si>
  <si>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</si>
  <si>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</si>
  <si>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</si>
  <si>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</si>
  <si>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</si>
  <si>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</si>
  <si>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</si>
  <si>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</si>
  <si>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</si>
  <si>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</si>
  <si>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</si>
  <si>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</si>
  <si>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</si>
  <si>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</si>
  <si>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</si>
  <si>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</si>
  <si>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</si>
  <si>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</si>
  <si>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</si>
  <si>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</si>
  <si>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</si>
  <si>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</si>
  <si>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</si>
  <si>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</si>
  <si>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</si>
  <si>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</si>
  <si>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</si>
  <si>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</si>
  <si>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</si>
  <si>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</si>
  <si>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</si>
  <si>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</si>
  <si>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</si>
  <si>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</si>
  <si>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</si>
  <si>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</si>
  <si>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</si>
  <si>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</si>
  <si>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</si>
  <si>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</si>
  <si>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</si>
  <si>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</si>
  <si>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</si>
  <si>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</si>
  <si>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</si>
  <si>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</si>
  <si>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</si>
  <si>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</si>
  <si>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</si>
  <si>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</si>
  <si>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</si>
  <si>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</si>
  <si>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</si>
  <si>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</si>
  <si>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</si>
  <si>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</si>
  <si>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</si>
  <si>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</si>
  <si>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</si>
  <si>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</si>
  <si>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</si>
  <si>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</si>
  <si>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</si>
  <si>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</si>
  <si>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</si>
  <si>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</si>
  <si>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</si>
  <si>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</si>
  <si>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</si>
  <si>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</si>
  <si>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</si>
  <si>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</si>
  <si>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</si>
  <si>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</si>
  <si>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</si>
  <si>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</si>
  <si>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</si>
  <si>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</si>
  <si>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</si>
  <si>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</si>
  <si>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</si>
  <si>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</si>
  <si>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</si>
  <si>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</si>
  <si>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</si>
  <si>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</si>
  <si>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</si>
  <si>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</si>
  <si>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</si>
  <si>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</si>
  <si>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</si>
  <si>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</si>
  <si>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</si>
  <si>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</si>
  <si>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</si>
  <si>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</si>
  <si>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</si>
  <si>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</si>
  <si>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</si>
  <si>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</si>
  <si>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</si>
  <si>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</si>
  <si>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</si>
  <si>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</si>
  <si>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</si>
  <si>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</si>
  <si>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</si>
  <si>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</si>
  <si>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</si>
  <si>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</si>
  <si>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</si>
  <si>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</si>
  <si>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</si>
  <si>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</si>
  <si>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</si>
  <si>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</si>
  <si>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</si>
  <si>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</si>
  <si>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</si>
  <si>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</si>
  <si>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</si>
  <si>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</si>
  <si>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</si>
  <si>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</si>
  <si>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</si>
  <si>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</si>
  <si>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</si>
  <si>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</si>
  <si>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</si>
  <si>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</si>
  <si>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</si>
  <si>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</si>
  <si>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</si>
  <si>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</si>
  <si>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</si>
  <si>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</si>
  <si>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</si>
  <si>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</si>
  <si>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1.04.14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</si>
  <si>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02.04.2014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</si>
</sst>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Лист4"/>
      <sheetName val="очік-01"/>
    </sheetNames>
    <sheetDataSet>
      <sheetData sheetId="17">
        <row r="6">
          <cell r="G6">
            <v>111898231.48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101452272.13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137" sqref="N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225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221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217</v>
      </c>
      <c r="H4" s="177" t="s">
        <v>218</v>
      </c>
      <c r="I4" s="211" t="s">
        <v>188</v>
      </c>
      <c r="J4" s="197" t="s">
        <v>189</v>
      </c>
      <c r="K4" s="201" t="s">
        <v>219</v>
      </c>
      <c r="L4" s="202"/>
      <c r="M4" s="214"/>
      <c r="N4" s="168" t="s">
        <v>224</v>
      </c>
      <c r="O4" s="211" t="s">
        <v>136</v>
      </c>
      <c r="P4" s="211" t="s">
        <v>135</v>
      </c>
      <c r="Q4" s="201" t="s">
        <v>222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216</v>
      </c>
      <c r="F5" s="216"/>
      <c r="G5" s="210"/>
      <c r="H5" s="178"/>
      <c r="I5" s="212"/>
      <c r="J5" s="199"/>
      <c r="K5" s="153"/>
      <c r="L5" s="164"/>
      <c r="M5" s="151" t="s">
        <v>220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108080.15</v>
      </c>
      <c r="G8" s="22">
        <f aca="true" t="shared" si="0" ref="G8:G30">F8-E8</f>
        <v>-49180.840000000026</v>
      </c>
      <c r="H8" s="51">
        <f>F8/E8*100</f>
        <v>68.72661172996557</v>
      </c>
      <c r="I8" s="36">
        <f aca="true" t="shared" si="1" ref="I8:I17">F8-D8</f>
        <v>-411249.15</v>
      </c>
      <c r="J8" s="36">
        <f aca="true" t="shared" si="2" ref="J8:J14">F8/D8*100</f>
        <v>20.81148704685062</v>
      </c>
      <c r="K8" s="36">
        <f>F8-151112.7</f>
        <v>-43032.55000000002</v>
      </c>
      <c r="L8" s="136">
        <f>F8/151112.7</f>
        <v>0.7152287663445891</v>
      </c>
      <c r="M8" s="22">
        <f>M10+M19+M33+M56+M68+M30</f>
        <v>42023.09</v>
      </c>
      <c r="N8" s="22">
        <f>N10+N19+N33+N56+N68+N30</f>
        <v>471.1399999999933</v>
      </c>
      <c r="O8" s="36">
        <f aca="true" t="shared" si="3" ref="O8:O71">N8-M8</f>
        <v>-41551.950000000004</v>
      </c>
      <c r="P8" s="36">
        <f>F8/M8*100</f>
        <v>257.19229594967913</v>
      </c>
      <c r="Q8" s="36">
        <f>N8-40194.7</f>
        <v>-39723.560000000005</v>
      </c>
      <c r="R8" s="134">
        <f>N8/40194.7</f>
        <v>0.011721445862265256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86480.51</v>
      </c>
      <c r="G9" s="22">
        <f t="shared" si="0"/>
        <v>86480.51</v>
      </c>
      <c r="H9" s="20"/>
      <c r="I9" s="56">
        <f t="shared" si="1"/>
        <v>-331885.69</v>
      </c>
      <c r="J9" s="56">
        <f t="shared" si="2"/>
        <v>20.67100783954344</v>
      </c>
      <c r="K9" s="56"/>
      <c r="L9" s="135"/>
      <c r="M9" s="20">
        <f>M10+M17</f>
        <v>35046.5</v>
      </c>
      <c r="N9" s="20">
        <f>N10+N17</f>
        <v>433.8999999999942</v>
      </c>
      <c r="O9" s="36">
        <f t="shared" si="3"/>
        <v>-34612.600000000006</v>
      </c>
      <c r="P9" s="56">
        <f>F9/M9*100</f>
        <v>246.75933402764895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86480.51</v>
      </c>
      <c r="G10" s="49">
        <f t="shared" si="0"/>
        <v>-42022.59000000001</v>
      </c>
      <c r="H10" s="40">
        <f aca="true" t="shared" si="4" ref="H10:H17">F10/E10*100</f>
        <v>67.29838424131401</v>
      </c>
      <c r="I10" s="56">
        <f t="shared" si="1"/>
        <v>-331885.69</v>
      </c>
      <c r="J10" s="56">
        <f t="shared" si="2"/>
        <v>20.67100783954344</v>
      </c>
      <c r="K10" s="141">
        <f>F10-117271.4</f>
        <v>-30790.89</v>
      </c>
      <c r="L10" s="142">
        <f>F10/117271.4</f>
        <v>0.7374390516357782</v>
      </c>
      <c r="M10" s="40">
        <f>E10-березень!E10</f>
        <v>35046.5</v>
      </c>
      <c r="N10" s="40">
        <f>F10-березень!F10</f>
        <v>433.8999999999942</v>
      </c>
      <c r="O10" s="53">
        <f t="shared" si="3"/>
        <v>-34612.600000000006</v>
      </c>
      <c r="P10" s="56">
        <f aca="true" t="shared" si="5" ref="P10:P17">N10/M10*100</f>
        <v>1.2380694220535409</v>
      </c>
      <c r="Q10" s="141">
        <f>N10-32056.3</f>
        <v>-31622.400000000005</v>
      </c>
      <c r="R10" s="142">
        <f>N10/32056.3</f>
        <v>0.013535560872589607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815.68</v>
      </c>
      <c r="G19" s="49">
        <f t="shared" si="0"/>
        <v>-423.91999999999996</v>
      </c>
      <c r="H19" s="40">
        <f aca="true" t="shared" si="6" ref="H19:H29">F19/E19*100</f>
        <v>65.80187157147466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F19-4735.9</f>
        <v>-3920.22</v>
      </c>
      <c r="L19" s="135">
        <f>F19/4735.9</f>
        <v>0.1722333664139868</v>
      </c>
      <c r="M19" s="40">
        <f>E19-березень!E19</f>
        <v>11</v>
      </c>
      <c r="N19" s="40">
        <f>F19-березень!F19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N19-450.5</f>
        <v>-450.5</v>
      </c>
      <c r="R19" s="135">
        <f>N19/450.5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19116.23</v>
      </c>
      <c r="G33" s="49">
        <f aca="true" t="shared" si="14" ref="G33:G72">F33-E33</f>
        <v>-6154.360000000001</v>
      </c>
      <c r="H33" s="40">
        <f aca="true" t="shared" si="15" ref="H33:H67">F33/E33*100</f>
        <v>75.64615626307102</v>
      </c>
      <c r="I33" s="56">
        <f>F33-D33</f>
        <v>-68949.77</v>
      </c>
      <c r="J33" s="56">
        <f aca="true" t="shared" si="16" ref="J33:J72">F33/D33*100</f>
        <v>21.706708604909952</v>
      </c>
      <c r="K33" s="141">
        <f>F33-26928.2</f>
        <v>-7811.970000000001</v>
      </c>
      <c r="L33" s="142">
        <f>F33/26928.2</f>
        <v>0.7098963168722752</v>
      </c>
      <c r="M33" s="40">
        <f>E33-березень!E33</f>
        <v>6412.09</v>
      </c>
      <c r="N33" s="40">
        <f>F33-березень!F33</f>
        <v>26.959999999999127</v>
      </c>
      <c r="O33" s="53">
        <f t="shared" si="3"/>
        <v>-6385.130000000001</v>
      </c>
      <c r="P33" s="56">
        <f aca="true" t="shared" si="17" ref="P33:P67">N33/M33*100</f>
        <v>0.4204557328421642</v>
      </c>
      <c r="Q33" s="141">
        <f>N33-7165.5</f>
        <v>-7138.540000000001</v>
      </c>
      <c r="R33" s="142">
        <f>N33/7165.5</f>
        <v>0.003762472960714413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14214.54</v>
      </c>
      <c r="G55" s="144">
        <f t="shared" si="14"/>
        <v>-4595.75</v>
      </c>
      <c r="H55" s="146">
        <f t="shared" si="15"/>
        <v>75.56789395591456</v>
      </c>
      <c r="I55" s="145">
        <f t="shared" si="18"/>
        <v>-52051.46</v>
      </c>
      <c r="J55" s="145">
        <f t="shared" si="16"/>
        <v>21.45072888057224</v>
      </c>
      <c r="K55" s="148">
        <f>F55-19428.9</f>
        <v>-5214.360000000001</v>
      </c>
      <c r="L55" s="149">
        <f>F55/19428.9</f>
        <v>0.7316183623365193</v>
      </c>
      <c r="M55" s="40">
        <f>E55-березень!E55</f>
        <v>4792.090000000002</v>
      </c>
      <c r="N55" s="40">
        <f>F55-березень!F55</f>
        <v>17.530000000000655</v>
      </c>
      <c r="O55" s="148">
        <f t="shared" si="3"/>
        <v>-4774.560000000001</v>
      </c>
      <c r="P55" s="148">
        <f t="shared" si="17"/>
        <v>0.3658111596401705</v>
      </c>
      <c r="Q55" s="218">
        <f>N55-4813.7</f>
        <v>-4796.169999999999</v>
      </c>
      <c r="R55" s="219">
        <f>N55/4813.7</f>
        <v>0.003641689344994631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1663.99</v>
      </c>
      <c r="G56" s="49">
        <f t="shared" si="14"/>
        <v>-574.1099999999999</v>
      </c>
      <c r="H56" s="40">
        <f t="shared" si="15"/>
        <v>74.34833117376346</v>
      </c>
      <c r="I56" s="56">
        <f t="shared" si="18"/>
        <v>-5196.01</v>
      </c>
      <c r="J56" s="56">
        <f t="shared" si="16"/>
        <v>24.256413994169097</v>
      </c>
      <c r="K56" s="56">
        <f>F56-2151.9</f>
        <v>-487.9100000000001</v>
      </c>
      <c r="L56" s="135">
        <f>F56/2151.9</f>
        <v>0.7732654863144198</v>
      </c>
      <c r="M56" s="40">
        <f>E56-березень!E56</f>
        <v>553</v>
      </c>
      <c r="N56" s="40">
        <f>F56-березень!F56</f>
        <v>10.279999999999973</v>
      </c>
      <c r="O56" s="53">
        <f t="shared" si="3"/>
        <v>-542.72</v>
      </c>
      <c r="P56" s="56">
        <f t="shared" si="17"/>
        <v>1.8589511754068668</v>
      </c>
      <c r="Q56" s="56">
        <f>N56-522.5</f>
        <v>-512.22</v>
      </c>
      <c r="R56" s="135">
        <f>N56/522.5</f>
        <v>0.019674641148325307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3125.1600000000003</v>
      </c>
      <c r="G74" s="50">
        <f aca="true" t="shared" si="24" ref="G74:G92">F74-E74</f>
        <v>-782.3399999999997</v>
      </c>
      <c r="H74" s="51">
        <f aca="true" t="shared" si="25" ref="H74:H87">F74/E74*100</f>
        <v>79.9785028790787</v>
      </c>
      <c r="I74" s="36">
        <f aca="true" t="shared" si="26" ref="I74:I92">F74-D74</f>
        <v>-14540.439999999999</v>
      </c>
      <c r="J74" s="36">
        <f aca="true" t="shared" si="27" ref="J74:J92">F74/D74*100</f>
        <v>17.690653020559736</v>
      </c>
      <c r="K74" s="36">
        <f>F74-5374.8</f>
        <v>-2249.64</v>
      </c>
      <c r="L74" s="136">
        <f>F74/5374.8</f>
        <v>0.5814467515070328</v>
      </c>
      <c r="M74" s="22">
        <f>M77+M86+M88+M89+M94+M95+M96+M97+M99+M87+M103</f>
        <v>1075.5</v>
      </c>
      <c r="N74" s="22">
        <f>N77+N86+N88+N89+N94+N95+N96+N97+N99+N32+N103+N87</f>
        <v>5.609999999999907</v>
      </c>
      <c r="O74" s="55">
        <f aca="true" t="shared" si="28" ref="O74:O92">N74-M74</f>
        <v>-1069.89</v>
      </c>
      <c r="P74" s="36">
        <f>N74/M74*100</f>
        <v>0.5216178521617766</v>
      </c>
      <c r="Q74" s="36">
        <f>N74-1526</f>
        <v>-1520.39</v>
      </c>
      <c r="R74" s="136">
        <f>N74/1526</f>
        <v>0.003676277850589716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F77-1342.2</f>
        <v>-1318.29</v>
      </c>
      <c r="L77" s="135">
        <f>F77/1342.2</f>
        <v>0.01781403665623603</v>
      </c>
      <c r="M77" s="40">
        <f>E77-березень!E77</f>
        <v>0</v>
      </c>
      <c r="N77" s="40">
        <f>F77-березень!F77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N77-68.3</f>
        <v>-68.3</v>
      </c>
      <c r="R77" s="135">
        <f>N77/68.3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26.84</v>
      </c>
      <c r="G89" s="49">
        <f t="shared" si="24"/>
        <v>-27.16</v>
      </c>
      <c r="H89" s="40">
        <f>F89/E89*100</f>
        <v>49.7037037037037</v>
      </c>
      <c r="I89" s="56">
        <f t="shared" si="26"/>
        <v>-148.16</v>
      </c>
      <c r="J89" s="56">
        <f t="shared" si="27"/>
        <v>15.337142857142858</v>
      </c>
      <c r="K89" s="56">
        <f>F89-66.3</f>
        <v>-39.459999999999994</v>
      </c>
      <c r="L89" s="135">
        <f>F89/66.3</f>
        <v>0.4048265460030166</v>
      </c>
      <c r="M89" s="40">
        <f>E89-березень!E89</f>
        <v>15</v>
      </c>
      <c r="N89" s="40">
        <f>F89-березень!F89</f>
        <v>0.07000000000000028</v>
      </c>
      <c r="O89" s="53">
        <f t="shared" si="28"/>
        <v>-14.93</v>
      </c>
      <c r="P89" s="56">
        <f>N89/M89*100</f>
        <v>0.4666666666666685</v>
      </c>
      <c r="Q89" s="56">
        <f>N89-18.8</f>
        <v>-18.73</v>
      </c>
      <c r="R89" s="135">
        <f>N89/18.8</f>
        <v>0.003723404255319164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1727.71</v>
      </c>
      <c r="G95" s="49">
        <f t="shared" si="31"/>
        <v>-463.78999999999996</v>
      </c>
      <c r="H95" s="40">
        <f>F95/E95*100</f>
        <v>78.83686972393338</v>
      </c>
      <c r="I95" s="56">
        <f t="shared" si="32"/>
        <v>-4572.29</v>
      </c>
      <c r="J95" s="56">
        <f>F95/D95*100</f>
        <v>27.423968253968255</v>
      </c>
      <c r="K95" s="56">
        <f>F95-2269.2</f>
        <v>-541.4899999999998</v>
      </c>
      <c r="L95" s="135">
        <f>F95/2269.2</f>
        <v>0.761374052529526</v>
      </c>
      <c r="M95" s="40">
        <f>E95-березень!E95</f>
        <v>515</v>
      </c>
      <c r="N95" s="40">
        <f>F95-березень!F95</f>
        <v>0.30999999999994543</v>
      </c>
      <c r="O95" s="53">
        <f t="shared" si="33"/>
        <v>-514.69</v>
      </c>
      <c r="P95" s="56">
        <f>N95/M95*100</f>
        <v>0.060194174757270964</v>
      </c>
      <c r="Q95" s="56">
        <f>N95-790.5</f>
        <v>-790.19</v>
      </c>
      <c r="R95" s="135">
        <f>N95/790.5</f>
        <v>0.000392156862745029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199.94</v>
      </c>
      <c r="G96" s="49">
        <f t="shared" si="31"/>
        <v>-94.56</v>
      </c>
      <c r="H96" s="40">
        <f>F96/E96*100</f>
        <v>67.89134125636672</v>
      </c>
      <c r="I96" s="56">
        <f t="shared" si="32"/>
        <v>-1000.06</v>
      </c>
      <c r="J96" s="56">
        <f>F96/D96*100</f>
        <v>16.661666666666665</v>
      </c>
      <c r="K96" s="56">
        <f>F96-305.5</f>
        <v>-105.56</v>
      </c>
      <c r="L96" s="135">
        <f>F96/305.5</f>
        <v>0.654468085106383</v>
      </c>
      <c r="M96" s="40">
        <f>E96-березень!E96</f>
        <v>70</v>
      </c>
      <c r="N96" s="40">
        <f>F96-березень!F96</f>
        <v>1.0699999999999932</v>
      </c>
      <c r="O96" s="53">
        <f t="shared" si="33"/>
        <v>-68.93</v>
      </c>
      <c r="P96" s="56">
        <f>N96/M96*100</f>
        <v>1.528571428571419</v>
      </c>
      <c r="Q96" s="56">
        <f>N96-144</f>
        <v>-142.93</v>
      </c>
      <c r="R96" s="135">
        <f>N96/144</f>
        <v>0.007430555555555508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918.01</v>
      </c>
      <c r="G99" s="49">
        <f t="shared" si="31"/>
        <v>-128.99</v>
      </c>
      <c r="H99" s="40">
        <f>F99/E99*100</f>
        <v>87.68003820439351</v>
      </c>
      <c r="I99" s="56">
        <f t="shared" si="32"/>
        <v>-2961.99</v>
      </c>
      <c r="J99" s="56">
        <f>F99/D99*100</f>
        <v>23.660051546391752</v>
      </c>
      <c r="K99" s="56">
        <f>F99-994.9</f>
        <v>-76.88999999999999</v>
      </c>
      <c r="L99" s="135">
        <f>F99/994.9</f>
        <v>0.9227158508392803</v>
      </c>
      <c r="M99" s="40">
        <f>E99-березень!E99</f>
        <v>270</v>
      </c>
      <c r="N99" s="40">
        <f>F99-березень!F99</f>
        <v>4.159999999999968</v>
      </c>
      <c r="O99" s="53">
        <f t="shared" si="33"/>
        <v>-265.84000000000003</v>
      </c>
      <c r="P99" s="56">
        <f>N99/M99*100</f>
        <v>1.540740740740729</v>
      </c>
      <c r="Q99" s="56">
        <f>N99-264.3</f>
        <v>-260.14000000000004</v>
      </c>
      <c r="R99" s="135">
        <f>N99/264.3</f>
        <v>0.015739689746500068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173.8</v>
      </c>
      <c r="G102" s="144"/>
      <c r="H102" s="146"/>
      <c r="I102" s="145"/>
      <c r="J102" s="145"/>
      <c r="K102" s="148">
        <f>F102-139.6</f>
        <v>34.20000000000002</v>
      </c>
      <c r="L102" s="149">
        <f>F102/139.6</f>
        <v>1.2449856733524356</v>
      </c>
      <c r="M102" s="40">
        <f>E102-березень!E102</f>
        <v>0</v>
      </c>
      <c r="N102" s="40">
        <f>F102-березень!F102</f>
        <v>0</v>
      </c>
      <c r="O102" s="53"/>
      <c r="P102" s="60"/>
      <c r="Q102" s="60">
        <f>N102-51</f>
        <v>-51</v>
      </c>
      <c r="R102" s="138">
        <f>N102/51</f>
        <v>0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5.91</v>
      </c>
      <c r="G104" s="49">
        <f>F104-E104</f>
        <v>-3.289999999999999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E104-березень!E104</f>
        <v>2.999999999999999</v>
      </c>
      <c r="N104" s="40">
        <f>F104-березень!F104</f>
        <v>0</v>
      </c>
      <c r="O104" s="53">
        <f t="shared" si="35"/>
        <v>-2.999999999999999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111211.26</v>
      </c>
      <c r="G106" s="50">
        <f>F106-E106</f>
        <v>-49966.43000000004</v>
      </c>
      <c r="H106" s="51">
        <f>F106/E106*100</f>
        <v>68.99916483478574</v>
      </c>
      <c r="I106" s="36">
        <f t="shared" si="34"/>
        <v>-425828.64</v>
      </c>
      <c r="J106" s="36">
        <f t="shared" si="36"/>
        <v>20.708193190114923</v>
      </c>
      <c r="K106" s="36">
        <f>F106-156502.1</f>
        <v>-45290.84000000001</v>
      </c>
      <c r="L106" s="136">
        <f>F106/156502.1</f>
        <v>0.7106055445901365</v>
      </c>
      <c r="M106" s="22">
        <f>M8+M74+M104+M105</f>
        <v>43101.59</v>
      </c>
      <c r="N106" s="22">
        <f>N8+N74+N104+N105</f>
        <v>476.7499999999932</v>
      </c>
      <c r="O106" s="55">
        <f t="shared" si="35"/>
        <v>-42624.840000000004</v>
      </c>
      <c r="P106" s="36">
        <f>N106/M106*100</f>
        <v>1.1061076865145654</v>
      </c>
      <c r="Q106" s="36">
        <f>N106-41720.7</f>
        <v>-41243.950000000004</v>
      </c>
      <c r="R106" s="136">
        <f>N106/41720.7</f>
        <v>0.011427181231378985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86680.45</v>
      </c>
      <c r="G107" s="71">
        <f>G10-G18+G96</f>
        <v>-42117.15000000001</v>
      </c>
      <c r="H107" s="72">
        <f>F107/E107*100</f>
        <v>67.29974005726814</v>
      </c>
      <c r="I107" s="52">
        <f t="shared" si="34"/>
        <v>-332885.75</v>
      </c>
      <c r="J107" s="52">
        <f t="shared" si="36"/>
        <v>20.659540735168846</v>
      </c>
      <c r="K107" s="52">
        <f>F107-117642.3</f>
        <v>-30961.850000000006</v>
      </c>
      <c r="L107" s="137">
        <f>F107/117642.3</f>
        <v>0.7368136291112976</v>
      </c>
      <c r="M107" s="71">
        <f>M10-M18+M96</f>
        <v>35116.5</v>
      </c>
      <c r="N107" s="71">
        <f>N10-N18+N96</f>
        <v>434.9699999999942</v>
      </c>
      <c r="O107" s="53">
        <f t="shared" si="35"/>
        <v>-34681.530000000006</v>
      </c>
      <c r="P107" s="52">
        <f>N107/M107*100</f>
        <v>1.238648498569032</v>
      </c>
      <c r="Q107" s="52">
        <f>N107-32216.7</f>
        <v>-31781.730000000007</v>
      </c>
      <c r="R107" s="137">
        <f>N107/32216.7</f>
        <v>0.013501382823194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24530.809999999998</v>
      </c>
      <c r="G108" s="62">
        <f>F108-E108</f>
        <v>-7849.280000000028</v>
      </c>
      <c r="H108" s="72">
        <f>F108/E108*100</f>
        <v>75.75893087387952</v>
      </c>
      <c r="I108" s="52">
        <f t="shared" si="34"/>
        <v>-92942.89000000001</v>
      </c>
      <c r="J108" s="52">
        <f t="shared" si="36"/>
        <v>20.881959110847788</v>
      </c>
      <c r="K108" s="52">
        <f>F108-38859.8</f>
        <v>-14328.990000000005</v>
      </c>
      <c r="L108" s="137">
        <f>F108/38859.8</f>
        <v>0.6312644429461808</v>
      </c>
      <c r="M108" s="71">
        <f>M106-M107</f>
        <v>7985.0899999999965</v>
      </c>
      <c r="N108" s="71">
        <f>N106-N107</f>
        <v>41.779999999999006</v>
      </c>
      <c r="O108" s="53">
        <f t="shared" si="35"/>
        <v>-7943.309999999998</v>
      </c>
      <c r="P108" s="52">
        <f>N108/M108*100</f>
        <v>0.5232251608936033</v>
      </c>
      <c r="Q108" s="52">
        <f>N108-9504</f>
        <v>-9462.220000000001</v>
      </c>
      <c r="R108" s="137">
        <f>N108/9504</f>
        <v>0.004396043771043666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128797.6</v>
      </c>
      <c r="F109" s="71">
        <f>F107</f>
        <v>86680.45</v>
      </c>
      <c r="G109" s="111">
        <f>F109-E109</f>
        <v>-42117.15000000001</v>
      </c>
      <c r="H109" s="72">
        <f>F109/E109*100</f>
        <v>67.29974005726814</v>
      </c>
      <c r="I109" s="81">
        <f t="shared" si="34"/>
        <v>-301532.75</v>
      </c>
      <c r="J109" s="52">
        <f t="shared" si="36"/>
        <v>22.328053244969514</v>
      </c>
      <c r="K109" s="52"/>
      <c r="L109" s="137"/>
      <c r="M109" s="72">
        <f>E109-березень!E109</f>
        <v>35116.5</v>
      </c>
      <c r="N109" s="71">
        <f>N107</f>
        <v>434.9699999999942</v>
      </c>
      <c r="O109" s="118">
        <f t="shared" si="35"/>
        <v>-34681.530000000006</v>
      </c>
      <c r="P109" s="52">
        <f>N109/M109*100</f>
        <v>1.238648498569032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7435.62000000001</v>
      </c>
      <c r="F111" s="84">
        <v>0</v>
      </c>
      <c r="G111" s="62">
        <f>F111-E111</f>
        <v>-7435.62000000001</v>
      </c>
      <c r="H111" s="72"/>
      <c r="I111" s="85"/>
      <c r="J111" s="52"/>
      <c r="K111" s="52"/>
      <c r="L111" s="137"/>
      <c r="M111" s="217">
        <f>E111</f>
        <v>7435.62000000001</v>
      </c>
      <c r="N111" s="84">
        <v>0</v>
      </c>
      <c r="O111" s="118">
        <f>N111-M111</f>
        <v>-7435.62000000001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F113-6.7</f>
        <v>-9.58</v>
      </c>
      <c r="L113" s="138">
        <f>F113/6.7</f>
        <v>-0.4298507462686567</v>
      </c>
      <c r="M113" s="40">
        <f>E113-березень!E113</f>
        <v>0</v>
      </c>
      <c r="N113" s="40">
        <f>F113-березень!F113</f>
        <v>0</v>
      </c>
      <c r="O113" s="53"/>
      <c r="P113" s="60"/>
      <c r="Q113" s="60">
        <f>N113-2.1</f>
        <v>-2.1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287.74</v>
      </c>
      <c r="G114" s="49">
        <f t="shared" si="37"/>
        <v>-754.3599999999999</v>
      </c>
      <c r="H114" s="40">
        <f aca="true" t="shared" si="39" ref="H114:H125">F114/E114*100</f>
        <v>27.611553593705025</v>
      </c>
      <c r="I114" s="60">
        <f t="shared" si="38"/>
        <v>-3383.76</v>
      </c>
      <c r="J114" s="60">
        <f aca="true" t="shared" si="40" ref="J114:J120">F114/D114*100</f>
        <v>7.837123791365927</v>
      </c>
      <c r="K114" s="60">
        <f>F114-1203.2</f>
        <v>-915.46</v>
      </c>
      <c r="L114" s="138">
        <f>F114/1203.2</f>
        <v>0.23914561170212767</v>
      </c>
      <c r="M114" s="40">
        <f>E114-березень!E114</f>
        <v>327.4999999999999</v>
      </c>
      <c r="N114" s="40">
        <f>F114-березень!F114</f>
        <v>4.090000000000032</v>
      </c>
      <c r="O114" s="53">
        <f aca="true" t="shared" si="41" ref="O114:O125">N114-M114</f>
        <v>-323.40999999999985</v>
      </c>
      <c r="P114" s="60">
        <f>N114/M114*100</f>
        <v>1.2488549618320712</v>
      </c>
      <c r="Q114" s="60">
        <f>N114-368.9</f>
        <v>-364.80999999999995</v>
      </c>
      <c r="R114" s="138">
        <f>N114/368.9</f>
        <v>0.011087015451341914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70.69</v>
      </c>
      <c r="G115" s="49">
        <f t="shared" si="37"/>
        <v>-19.810000000000002</v>
      </c>
      <c r="H115" s="40">
        <f t="shared" si="39"/>
        <v>78.11049723756905</v>
      </c>
      <c r="I115" s="60">
        <f t="shared" si="38"/>
        <v>-197.41000000000003</v>
      </c>
      <c r="J115" s="60">
        <f t="shared" si="40"/>
        <v>26.367027228646023</v>
      </c>
      <c r="K115" s="60">
        <f>F115-84.2</f>
        <v>-13.510000000000005</v>
      </c>
      <c r="L115" s="138">
        <f>F115/84.2</f>
        <v>0.8395486935866983</v>
      </c>
      <c r="M115" s="40">
        <f>E115-березень!E115</f>
        <v>22</v>
      </c>
      <c r="N115" s="40">
        <f>F115-березень!F115</f>
        <v>0</v>
      </c>
      <c r="O115" s="53">
        <f t="shared" si="41"/>
        <v>-22</v>
      </c>
      <c r="P115" s="60">
        <f>N115/M115*100</f>
        <v>0</v>
      </c>
      <c r="Q115" s="60">
        <f>N115-20.8</f>
        <v>-20.8</v>
      </c>
      <c r="R115" s="138">
        <f>N115/20.8</f>
        <v>0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355.55</v>
      </c>
      <c r="G116" s="62">
        <f t="shared" si="37"/>
        <v>-777.05</v>
      </c>
      <c r="H116" s="72">
        <f t="shared" si="39"/>
        <v>31.39237153452234</v>
      </c>
      <c r="I116" s="61">
        <f t="shared" si="38"/>
        <v>-3584.0499999999997</v>
      </c>
      <c r="J116" s="61">
        <f t="shared" si="40"/>
        <v>9.02502792161641</v>
      </c>
      <c r="K116" s="61">
        <f>F116-1294.2</f>
        <v>-938.6500000000001</v>
      </c>
      <c r="L116" s="139">
        <f>F116/1294.2</f>
        <v>0.27472569927368257</v>
      </c>
      <c r="M116" s="62">
        <f>M114+M115+M113</f>
        <v>349.4999999999999</v>
      </c>
      <c r="N116" s="38">
        <f>SUM(N113:N115)</f>
        <v>4.090000000000032</v>
      </c>
      <c r="O116" s="61">
        <f t="shared" si="41"/>
        <v>-345.40999999999985</v>
      </c>
      <c r="P116" s="61">
        <f>N116/M116*100</f>
        <v>1.170243204577978</v>
      </c>
      <c r="Q116" s="61">
        <f>N116-391.8</f>
        <v>-387.71</v>
      </c>
      <c r="R116" s="139">
        <f>N116/391.8</f>
        <v>0.010438999489535559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F118-88.4</f>
        <v>13.069999999999993</v>
      </c>
      <c r="L118" s="138">
        <f>F118/88.4</f>
        <v>1.1478506787330316</v>
      </c>
      <c r="M118" s="40">
        <f>E118-березень!E118</f>
        <v>0</v>
      </c>
      <c r="N118" s="40">
        <f>F118-березень!F118</f>
        <v>0</v>
      </c>
      <c r="O118" s="53" t="s">
        <v>166</v>
      </c>
      <c r="P118" s="60"/>
      <c r="Q118" s="60">
        <f>N118-80.7</f>
        <v>-80.7</v>
      </c>
      <c r="R118" s="138">
        <f>N118/80.7</f>
        <v>0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19847.26</v>
      </c>
      <c r="G119" s="49">
        <f t="shared" si="37"/>
        <v>-3965.34</v>
      </c>
      <c r="H119" s="40">
        <f t="shared" si="39"/>
        <v>83.34772347412715</v>
      </c>
      <c r="I119" s="53">
        <f t="shared" si="38"/>
        <v>-6140.125</v>
      </c>
      <c r="J119" s="60">
        <f t="shared" si="40"/>
        <v>76.37267081701371</v>
      </c>
      <c r="K119" s="60">
        <f>F119-23645.2</f>
        <v>-3797.9400000000023</v>
      </c>
      <c r="L119" s="138">
        <f>F119/23645.2</f>
        <v>0.8393779710046858</v>
      </c>
      <c r="M119" s="40">
        <f>E119-березень!E119</f>
        <v>5200</v>
      </c>
      <c r="N119" s="40">
        <f>F119-березень!F119</f>
        <v>152.21999999999753</v>
      </c>
      <c r="O119" s="53">
        <f t="shared" si="41"/>
        <v>-5047.7800000000025</v>
      </c>
      <c r="P119" s="60">
        <f aca="true" t="shared" si="42" ref="P119:P124">N119/M119*100</f>
        <v>2.927307692307645</v>
      </c>
      <c r="Q119" s="60">
        <f>N119-6401.1</f>
        <v>-6248.880000000003</v>
      </c>
      <c r="R119" s="138">
        <f>N119/6401.1</f>
        <v>0.02378028776304034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658.88</v>
      </c>
      <c r="G120" s="49">
        <f t="shared" si="37"/>
        <v>658.88</v>
      </c>
      <c r="H120" s="40" t="e">
        <f t="shared" si="39"/>
        <v>#DIV/0!</v>
      </c>
      <c r="I120" s="60">
        <f t="shared" si="38"/>
        <v>658.88</v>
      </c>
      <c r="J120" s="60" t="e">
        <f t="shared" si="40"/>
        <v>#DIV/0!</v>
      </c>
      <c r="K120" s="60">
        <f>F120-436.1</f>
        <v>222.77999999999997</v>
      </c>
      <c r="L120" s="138">
        <f>F120/436.1</f>
        <v>1.5108461362072918</v>
      </c>
      <c r="M120" s="40">
        <f>E120-березень!E120</f>
        <v>0</v>
      </c>
      <c r="N120" s="40">
        <f>F120-березень!F120</f>
        <v>140.25</v>
      </c>
      <c r="O120" s="53">
        <f t="shared" si="41"/>
        <v>140.25</v>
      </c>
      <c r="P120" s="60" t="e">
        <f t="shared" si="42"/>
        <v>#DIV/0!</v>
      </c>
      <c r="Q120" s="60">
        <f>N120-155.6</f>
        <v>-15.349999999999994</v>
      </c>
      <c r="R120" s="138">
        <f>N120/155.6</f>
        <v>0.9013496143958869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F121-7276</f>
        <v>-6132.04</v>
      </c>
      <c r="L121" s="138">
        <f>F121/7276</f>
        <v>0.15722374931280925</v>
      </c>
      <c r="M121" s="40">
        <f>E121-березень!E121</f>
        <v>0</v>
      </c>
      <c r="N121" s="40">
        <f>F121-березень!F121</f>
        <v>0</v>
      </c>
      <c r="O121" s="53">
        <f t="shared" si="41"/>
        <v>0</v>
      </c>
      <c r="P121" s="60" t="e">
        <f t="shared" si="42"/>
        <v>#DIV/0!</v>
      </c>
      <c r="Q121" s="60">
        <f>N121-282.5</f>
        <v>-282.5</v>
      </c>
      <c r="R121" s="138">
        <f>N121/282.5</f>
        <v>0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F122-1170.5</f>
        <v>-706.5799999999999</v>
      </c>
      <c r="L122" s="138">
        <f>F122/1170.5</f>
        <v>0.39634344297308843</v>
      </c>
      <c r="M122" s="40">
        <f>E122-березень!E122</f>
        <v>0</v>
      </c>
      <c r="N122" s="40">
        <f>F122-березень!F122</f>
        <v>0</v>
      </c>
      <c r="O122" s="53">
        <f t="shared" si="41"/>
        <v>0</v>
      </c>
      <c r="P122" s="60" t="e">
        <f t="shared" si="42"/>
        <v>#DIV/0!</v>
      </c>
      <c r="Q122" s="60">
        <f>N122-856</f>
        <v>-856</v>
      </c>
      <c r="R122" s="138">
        <f>N122/865</f>
        <v>0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22215.489999999998</v>
      </c>
      <c r="G123" s="62">
        <f t="shared" si="37"/>
        <v>-1597.1100000000006</v>
      </c>
      <c r="H123" s="72">
        <f t="shared" si="39"/>
        <v>93.29300454381294</v>
      </c>
      <c r="I123" s="61">
        <f t="shared" si="38"/>
        <v>-3771.8950000000004</v>
      </c>
      <c r="J123" s="61">
        <f>F123/D123*100</f>
        <v>85.48566929685306</v>
      </c>
      <c r="K123" s="61">
        <f>F123-32616.1</f>
        <v>-10400.61</v>
      </c>
      <c r="L123" s="139">
        <f>F123/32616.1</f>
        <v>0.6811203669353478</v>
      </c>
      <c r="M123" s="62">
        <f>M119+M120+M121+M122+M118</f>
        <v>5200</v>
      </c>
      <c r="N123" s="62">
        <f>N119+N120+N121+N122+N118</f>
        <v>292.4699999999975</v>
      </c>
      <c r="O123" s="61">
        <f t="shared" si="41"/>
        <v>-4907.5300000000025</v>
      </c>
      <c r="P123" s="61">
        <f t="shared" si="42"/>
        <v>5.62442307692303</v>
      </c>
      <c r="Q123" s="61">
        <f>N123-7775.9</f>
        <v>-7483.430000000002</v>
      </c>
      <c r="R123" s="139">
        <f>N123/7775.9</f>
        <v>0.03761236641417682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>N124/M124*100</f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E126-березень!E126</f>
        <v>0</v>
      </c>
      <c r="N126" s="40">
        <f>F126-березень!F126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2603.75</v>
      </c>
      <c r="G127" s="49">
        <f aca="true" t="shared" si="43" ref="G127:G134">F127-E127</f>
        <v>94.25</v>
      </c>
      <c r="H127" s="40">
        <f>F127/E127*100</f>
        <v>103.75572823271568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F127-2832.5</f>
        <v>-228.75</v>
      </c>
      <c r="L127" s="138">
        <f>F127/2832.5</f>
        <v>0.9192409532215358</v>
      </c>
      <c r="M127" s="40">
        <f>E127-березень!E127</f>
        <v>2</v>
      </c>
      <c r="N127" s="40">
        <f>F127-березень!F127</f>
        <v>0</v>
      </c>
      <c r="O127" s="53">
        <f aca="true" t="shared" si="45" ref="O127:O134">N127-M127</f>
        <v>-2</v>
      </c>
      <c r="P127" s="60">
        <f>N127/M127*100</f>
        <v>0</v>
      </c>
      <c r="Q127" s="60">
        <f>N127-392.9</f>
        <v>-392.9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F128-(-0.6)</f>
        <v>0.24</v>
      </c>
      <c r="L128" s="138">
        <f>F128/(-0.6)</f>
        <v>0.6</v>
      </c>
      <c r="M128" s="40">
        <f>E128-березень!E128</f>
        <v>0</v>
      </c>
      <c r="N128" s="40">
        <f>F128-березень!F128</f>
        <v>0</v>
      </c>
      <c r="O128" s="53">
        <f t="shared" si="45"/>
        <v>0</v>
      </c>
      <c r="P128" s="60"/>
      <c r="Q128" s="60">
        <f>N128-0.2</f>
        <v>-0.2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2616.51</v>
      </c>
      <c r="G129" s="62">
        <f t="shared" si="43"/>
        <v>88.65000000000055</v>
      </c>
      <c r="H129" s="72">
        <f>F129/E129*100</f>
        <v>103.50691889582495</v>
      </c>
      <c r="I129" s="61">
        <f t="shared" si="44"/>
        <v>-6134.1900000000005</v>
      </c>
      <c r="J129" s="61">
        <f>F129/D129*100</f>
        <v>29.900579382220847</v>
      </c>
      <c r="K129" s="61">
        <f>F129-2938.1</f>
        <v>-321.5899999999997</v>
      </c>
      <c r="L129" s="139">
        <f>G129/2938.1</f>
        <v>0.03017256049828139</v>
      </c>
      <c r="M129" s="62">
        <f>M124+M127+M128+M126</f>
        <v>5</v>
      </c>
      <c r="N129" s="62">
        <f>N124+N127+N128+N126</f>
        <v>0</v>
      </c>
      <c r="O129" s="61">
        <f t="shared" si="45"/>
        <v>-5</v>
      </c>
      <c r="P129" s="61">
        <f>N129/M129*100</f>
        <v>0</v>
      </c>
      <c r="Q129" s="61">
        <f>N129-393.8</f>
        <v>-393.8</v>
      </c>
      <c r="R129" s="137">
        <f>N129/393.8</f>
        <v>0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10.97</v>
      </c>
      <c r="G130" s="49">
        <f>F130-E130</f>
        <v>2.7200000000000006</v>
      </c>
      <c r="H130" s="40">
        <f>F130/E130*100</f>
        <v>132.96969696969697</v>
      </c>
      <c r="I130" s="60">
        <f>F130-D130</f>
        <v>-19.03</v>
      </c>
      <c r="J130" s="60">
        <f>F130/D130*100</f>
        <v>36.56666666666667</v>
      </c>
      <c r="K130" s="60">
        <f>F130-8.8</f>
        <v>2.17</v>
      </c>
      <c r="L130" s="138">
        <f>F130/8.8</f>
        <v>1.246590909090909</v>
      </c>
      <c r="M130" s="40">
        <f>E130-березень!E130</f>
        <v>0.40000000000000036</v>
      </c>
      <c r="N130" s="40">
        <f>F130-березень!F130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25198.519999999997</v>
      </c>
      <c r="G133" s="50">
        <f t="shared" si="43"/>
        <v>-2282.790000000001</v>
      </c>
      <c r="H133" s="51">
        <f>F133/E133*100</f>
        <v>91.69329991910865</v>
      </c>
      <c r="I133" s="36">
        <f t="shared" si="44"/>
        <v>-13509.165</v>
      </c>
      <c r="J133" s="36">
        <f>F133/D133*100</f>
        <v>65.09952739359122</v>
      </c>
      <c r="K133" s="36">
        <f>F133-36860.1</f>
        <v>-11661.580000000002</v>
      </c>
      <c r="L133" s="136">
        <f>F133/36860.1</f>
        <v>0.683625926136934</v>
      </c>
      <c r="M133" s="31">
        <f>M116+M130+M123+M129+M132+M131</f>
        <v>5554.9</v>
      </c>
      <c r="N133" s="31">
        <f>N116+N130+N123+N129+N132+N131</f>
        <v>296.55999999999756</v>
      </c>
      <c r="O133" s="36">
        <f t="shared" si="45"/>
        <v>-5258.340000000002</v>
      </c>
      <c r="P133" s="36">
        <f>N133/M133*100</f>
        <v>5.338709967776154</v>
      </c>
      <c r="Q133" s="36">
        <f>N133-8565.9</f>
        <v>-8269.340000000002</v>
      </c>
      <c r="R133" s="136">
        <f>N133/8564.9</f>
        <v>0.0346250394050132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136409.78</v>
      </c>
      <c r="G134" s="50">
        <f t="shared" si="43"/>
        <v>-52249.22000000003</v>
      </c>
      <c r="H134" s="51">
        <f>F134/E134*100</f>
        <v>72.30494172024657</v>
      </c>
      <c r="I134" s="36">
        <f t="shared" si="44"/>
        <v>-439337.80499999993</v>
      </c>
      <c r="J134" s="36">
        <f>F134/D134*100</f>
        <v>23.692636070718386</v>
      </c>
      <c r="K134" s="36">
        <f>F134-193362.2</f>
        <v>-56952.42000000001</v>
      </c>
      <c r="L134" s="136">
        <f>F134/193362.2</f>
        <v>0.7054624947378546</v>
      </c>
      <c r="M134" s="22">
        <f>M106+M133</f>
        <v>48656.49</v>
      </c>
      <c r="N134" s="22">
        <f>N106+N133</f>
        <v>773.3099999999907</v>
      </c>
      <c r="O134" s="36">
        <f t="shared" si="45"/>
        <v>-47883.18000000001</v>
      </c>
      <c r="P134" s="36">
        <f>N134/M134*100</f>
        <v>1.5893254938857915</v>
      </c>
      <c r="Q134" s="36">
        <f>N134-50285.6</f>
        <v>-49512.29000000001</v>
      </c>
      <c r="R134" s="136">
        <f>N134/50285.6</f>
        <v>0.015378358814451668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20</v>
      </c>
      <c r="D136" s="4" t="s">
        <v>118</v>
      </c>
    </row>
    <row r="137" spans="2:17" ht="31.5">
      <c r="B137" s="78" t="s">
        <v>154</v>
      </c>
      <c r="C137" s="39">
        <f>IF(O106&lt;0,ABS(O106/C136),0)</f>
        <v>2131.242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41730</v>
      </c>
      <c r="D138" s="39">
        <v>476.7</v>
      </c>
      <c r="N138" s="152"/>
      <c r="O138" s="152"/>
    </row>
    <row r="139" spans="3:15" ht="15.75">
      <c r="C139" s="120">
        <v>41729</v>
      </c>
      <c r="D139" s="39">
        <v>3624.3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41726</v>
      </c>
      <c r="D140" s="39">
        <v>4682.6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111898.23148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101452.27213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3428.8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7" sqref="E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79" t="s">
        <v>212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188</v>
      </c>
      <c r="J4" s="197" t="s">
        <v>189</v>
      </c>
      <c r="K4" s="201" t="s">
        <v>196</v>
      </c>
      <c r="L4" s="202"/>
      <c r="M4" s="214"/>
      <c r="N4" s="168" t="s">
        <v>213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214</v>
      </c>
      <c r="F5" s="216"/>
      <c r="G5" s="210"/>
      <c r="H5" s="178"/>
      <c r="I5" s="212"/>
      <c r="J5" s="199"/>
      <c r="K5" s="153"/>
      <c r="L5" s="164"/>
      <c r="M5" s="151" t="s">
        <v>211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9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94">
        <f>N55-4813.8</f>
        <v>-96.90000000000055</v>
      </c>
      <c r="R55" s="19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173.8</v>
      </c>
      <c r="G102" s="144"/>
      <c r="H102" s="146"/>
      <c r="I102" s="145"/>
      <c r="J102" s="145"/>
      <c r="K102" s="148">
        <f>F102-88.6</f>
        <v>85.20000000000002</v>
      </c>
      <c r="L102" s="149">
        <f>F102/88.6</f>
        <v>1.9616252821670432</v>
      </c>
      <c r="M102" s="40">
        <f>E102-лютий!E102</f>
        <v>0</v>
      </c>
      <c r="N102" s="40">
        <f>F102-лютий!F102</f>
        <v>43.70000000000002</v>
      </c>
      <c r="O102" s="53"/>
      <c r="P102" s="60"/>
      <c r="Q102" s="60">
        <f>N102-31.4</f>
        <v>12.300000000000018</v>
      </c>
      <c r="R102" s="135">
        <f>N102/31.4</f>
        <v>1.3917197452229306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86245.48</v>
      </c>
      <c r="G109" s="111">
        <f>F109-E109</f>
        <v>-7435.62000000001</v>
      </c>
      <c r="H109" s="72">
        <f>F109/E109*100</f>
        <v>92.06283871560004</v>
      </c>
      <c r="I109" s="81">
        <f t="shared" si="34"/>
        <v>-333320.72000000003</v>
      </c>
      <c r="J109" s="52">
        <f t="shared" si="36"/>
        <v>20.55586937174634</v>
      </c>
      <c r="K109" s="52"/>
      <c r="L109" s="137"/>
      <c r="M109" s="122">
        <f>E109-лютий!E109</f>
        <v>33666.40000000001</v>
      </c>
      <c r="N109" s="71">
        <f>N107</f>
        <v>31372.950000000004</v>
      </c>
      <c r="O109" s="118">
        <f t="shared" si="35"/>
        <v>-2293.4500000000044</v>
      </c>
      <c r="P109" s="52">
        <f>N109/M109*100</f>
        <v>93.18771831856093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5142.169999999998</v>
      </c>
      <c r="F111" s="84">
        <v>0</v>
      </c>
      <c r="G111" s="62">
        <f>F111-E111</f>
        <v>-5142.169999999998</v>
      </c>
      <c r="H111" s="72"/>
      <c r="I111" s="85"/>
      <c r="J111" s="52"/>
      <c r="K111" s="52"/>
      <c r="L111" s="137"/>
      <c r="M111" s="217">
        <f>E111</f>
        <v>5142.169999999998</v>
      </c>
      <c r="N111" s="84">
        <v>0</v>
      </c>
      <c r="O111" s="118">
        <f>N111-M111</f>
        <v>-5142.169999999998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>N124/M124*100</f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52"/>
      <c r="O138" s="152"/>
    </row>
    <row r="139" spans="3:15" ht="15.75">
      <c r="C139" s="120">
        <v>41726</v>
      </c>
      <c r="D139" s="39">
        <v>4682.6</v>
      </c>
      <c r="F139" s="4" t="s">
        <v>166</v>
      </c>
      <c r="G139" s="160" t="s">
        <v>151</v>
      </c>
      <c r="H139" s="160"/>
      <c r="I139" s="115"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41725</v>
      </c>
      <c r="D140" s="39">
        <v>3360.7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114985.02570999999</v>
      </c>
      <c r="E142" s="80"/>
      <c r="F142" s="100" t="s">
        <v>147</v>
      </c>
      <c r="G142" s="160" t="s">
        <v>149</v>
      </c>
      <c r="H142" s="160"/>
      <c r="I142" s="116">
        <v>101159.80375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3918.1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J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2" sqref="M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187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190</v>
      </c>
      <c r="N3" s="172" t="s">
        <v>185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191</v>
      </c>
      <c r="F4" s="173" t="s">
        <v>116</v>
      </c>
      <c r="G4" s="175" t="s">
        <v>167</v>
      </c>
      <c r="H4" s="177" t="s">
        <v>168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89"/>
      <c r="N4" s="168" t="s">
        <v>194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184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217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K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O112" sqref="O11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192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178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175</v>
      </c>
      <c r="H4" s="177" t="s">
        <v>176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98"/>
      <c r="N4" s="168" t="s">
        <v>186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177</v>
      </c>
      <c r="L5" s="164"/>
      <c r="M5" s="199"/>
      <c r="N5" s="169"/>
      <c r="O5" s="171"/>
      <c r="P5" s="172"/>
      <c r="Q5" s="153" t="s">
        <v>179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2014-04-02T13:31:51Z</cp:lastPrinted>
  <dcterms:created xsi:type="dcterms:W3CDTF">2003-07-28T11:27:56Z</dcterms:created>
  <dcterms:modified xsi:type="dcterms:W3CDTF">2014-04-02T13:58:38Z</dcterms:modified>
  <cp:category/>
  <cp:version/>
  <cp:contentType/>
  <cp:contentStatus/>
</cp:coreProperties>
</file>